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15" windowHeight="18195"/>
  </bookViews>
  <sheets>
    <sheet name="Linse" sheetId="1" r:id="rId1"/>
    <sheet name="Tabelle2" sheetId="2" r:id="rId2"/>
    <sheet name="Tabelle3" sheetId="3" r:id="rId3"/>
  </sheets>
  <definedNames>
    <definedName name="a">Linse!$C$12</definedName>
    <definedName name="alpha">Linse!$K$4</definedName>
    <definedName name="b">Linse!$G$12</definedName>
    <definedName name="beta">Linse!$K$5</definedName>
    <definedName name="D">Linse!$C$3</definedName>
    <definedName name="delta">Linse!$S$6</definedName>
    <definedName name="_xlnm.Print_Area" localSheetId="0">Linse!$A$1:$AC$47</definedName>
    <definedName name="epsilon">Linse!$K$6</definedName>
    <definedName name="gamma">Linse!$S$5</definedName>
    <definedName name="LR">Linse!$D$12</definedName>
    <definedName name="m">Linse!$K$12</definedName>
    <definedName name="mue">Linse!$S$4</definedName>
    <definedName name="n">Linse!$L$12</definedName>
    <definedName name="ni">Linse!$C$2</definedName>
    <definedName name="p">Linse!$O$12</definedName>
    <definedName name="psi">Linse!$S$7</definedName>
    <definedName name="q">Linse!$P$12</definedName>
    <definedName name="RR">Linse!$H$12</definedName>
    <definedName name="sigma">Linse!$K$7</definedName>
    <definedName name="v">Linse!$S$12</definedName>
    <definedName name="w">Linse!$T$12</definedName>
    <definedName name="XA">Linse!$S$2</definedName>
    <definedName name="XB">Linse!$K$2</definedName>
    <definedName name="YA">Linse!$S$3</definedName>
    <definedName name="YB">Linse!$K$3</definedName>
    <definedName name="ZF">Linse!$C$5</definedName>
  </definedNames>
  <calcPr calcId="125725"/>
</workbook>
</file>

<file path=xl/calcChain.xml><?xml version="1.0" encoding="utf-8"?>
<calcChain xmlns="http://schemas.openxmlformats.org/spreadsheetml/2006/main">
  <c r="S8" i="1"/>
  <c r="T7"/>
  <c r="AG12"/>
  <c r="AH12"/>
  <c r="AI12"/>
  <c r="AF12"/>
  <c r="S22"/>
  <c r="S23"/>
  <c r="S24"/>
  <c r="S25"/>
  <c r="S26"/>
  <c r="O47"/>
  <c r="G47"/>
  <c r="K33"/>
  <c r="K25"/>
  <c r="K26"/>
  <c r="K27"/>
  <c r="K28"/>
  <c r="K29"/>
  <c r="K30"/>
  <c r="K31"/>
  <c r="K32"/>
  <c r="K15"/>
  <c r="K16"/>
  <c r="K17"/>
  <c r="K18"/>
  <c r="K19"/>
  <c r="K20"/>
  <c r="K21"/>
  <c r="K22"/>
  <c r="K23"/>
  <c r="K24"/>
  <c r="K14"/>
  <c r="S43"/>
  <c r="S44"/>
  <c r="S45"/>
  <c r="S46"/>
  <c r="S47"/>
  <c r="S38"/>
  <c r="S39"/>
  <c r="S40"/>
  <c r="S41"/>
  <c r="S42"/>
  <c r="C4"/>
  <c r="L12"/>
  <c r="L18" s="1"/>
  <c r="K6"/>
  <c r="L6" s="1"/>
  <c r="K5"/>
  <c r="L5" s="1"/>
  <c r="K4"/>
  <c r="L4" s="1"/>
  <c r="K3"/>
  <c r="K2"/>
  <c r="C5"/>
  <c r="S14"/>
  <c r="S15"/>
  <c r="S16"/>
  <c r="S17"/>
  <c r="S18"/>
  <c r="S19"/>
  <c r="S20"/>
  <c r="S21"/>
  <c r="S27"/>
  <c r="S28"/>
  <c r="S29"/>
  <c r="S30"/>
  <c r="S31"/>
  <c r="S32"/>
  <c r="S33"/>
  <c r="S34"/>
  <c r="S35"/>
  <c r="S36"/>
  <c r="S37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14"/>
  <c r="G15"/>
  <c r="G16"/>
  <c r="G17"/>
  <c r="G18"/>
  <c r="G19"/>
  <c r="G20"/>
  <c r="G21"/>
  <c r="G22"/>
  <c r="G23"/>
  <c r="G24"/>
  <c r="I24" s="1"/>
  <c r="G25"/>
  <c r="I25" s="1"/>
  <c r="G26"/>
  <c r="G27"/>
  <c r="H27" s="1"/>
  <c r="G28"/>
  <c r="I28" s="1"/>
  <c r="G29"/>
  <c r="I29" s="1"/>
  <c r="G30"/>
  <c r="H30" s="1"/>
  <c r="G31"/>
  <c r="I31" s="1"/>
  <c r="G32"/>
  <c r="I32" s="1"/>
  <c r="G33"/>
  <c r="I33" s="1"/>
  <c r="G34"/>
  <c r="G35"/>
  <c r="G36"/>
  <c r="G37"/>
  <c r="G38"/>
  <c r="G39"/>
  <c r="G40"/>
  <c r="G41"/>
  <c r="G42"/>
  <c r="G43"/>
  <c r="G44"/>
  <c r="G45"/>
  <c r="G46"/>
  <c r="G14"/>
  <c r="H26"/>
  <c r="I26"/>
  <c r="H28"/>
  <c r="I30"/>
  <c r="H34"/>
  <c r="I34"/>
  <c r="C40"/>
  <c r="C41"/>
  <c r="C42"/>
  <c r="C43"/>
  <c r="C44"/>
  <c r="C45"/>
  <c r="C46"/>
  <c r="C47"/>
  <c r="D27"/>
  <c r="E27"/>
  <c r="E30"/>
  <c r="D31"/>
  <c r="E31"/>
  <c r="C16"/>
  <c r="C17"/>
  <c r="C18"/>
  <c r="C19"/>
  <c r="C20"/>
  <c r="C21"/>
  <c r="C22"/>
  <c r="C23"/>
  <c r="C24"/>
  <c r="D24" s="1"/>
  <c r="C25"/>
  <c r="E25" s="1"/>
  <c r="C26"/>
  <c r="E26" s="1"/>
  <c r="C27"/>
  <c r="C28"/>
  <c r="E28" s="1"/>
  <c r="C29"/>
  <c r="E29" s="1"/>
  <c r="C30"/>
  <c r="D30" s="1"/>
  <c r="C31"/>
  <c r="C32"/>
  <c r="E32" s="1"/>
  <c r="C33"/>
  <c r="E33" s="1"/>
  <c r="C34"/>
  <c r="C35"/>
  <c r="C36"/>
  <c r="C37"/>
  <c r="C38"/>
  <c r="C39"/>
  <c r="C15"/>
  <c r="C14"/>
  <c r="H31" l="1"/>
  <c r="D33"/>
  <c r="D29"/>
  <c r="I27"/>
  <c r="D25"/>
  <c r="E24"/>
  <c r="D26"/>
  <c r="D32"/>
  <c r="D28"/>
  <c r="L27"/>
  <c r="L28"/>
  <c r="L25"/>
  <c r="L26"/>
  <c r="L29"/>
  <c r="K7"/>
  <c r="L30"/>
  <c r="L31"/>
  <c r="L22"/>
  <c r="L14"/>
  <c r="L15"/>
  <c r="L16"/>
  <c r="L19"/>
  <c r="L17"/>
  <c r="L20"/>
  <c r="L23"/>
  <c r="L21"/>
  <c r="L24"/>
  <c r="H32"/>
  <c r="H24"/>
  <c r="H33"/>
  <c r="H29"/>
  <c r="H25"/>
  <c r="D34"/>
  <c r="O12" l="1"/>
  <c r="L7"/>
  <c r="P12"/>
  <c r="E34"/>
  <c r="S2" l="1"/>
  <c r="S4" s="1"/>
  <c r="T4" s="1"/>
  <c r="P31"/>
  <c r="P17"/>
  <c r="P19"/>
  <c r="P21"/>
  <c r="P24"/>
  <c r="P30"/>
  <c r="P15"/>
  <c r="P25"/>
  <c r="P27"/>
  <c r="P29"/>
  <c r="P28"/>
  <c r="P33"/>
  <c r="P26"/>
  <c r="P32"/>
  <c r="P23"/>
  <c r="P22"/>
  <c r="P16"/>
  <c r="P18"/>
  <c r="P20"/>
  <c r="S5" l="1"/>
  <c r="S3"/>
  <c r="T5" l="1"/>
  <c r="S6"/>
  <c r="S7" l="1"/>
  <c r="T6"/>
  <c r="S12" l="1"/>
  <c r="T26" l="1"/>
  <c r="T12"/>
  <c r="T41" s="1"/>
  <c r="T24" l="1"/>
  <c r="T25"/>
  <c r="T43"/>
  <c r="T47"/>
  <c r="T45"/>
  <c r="T46"/>
  <c r="T44"/>
  <c r="T31"/>
  <c r="T39"/>
  <c r="T37"/>
  <c r="T36"/>
  <c r="T38"/>
  <c r="T42"/>
  <c r="T27"/>
  <c r="T32"/>
  <c r="T40"/>
  <c r="T29"/>
  <c r="T35"/>
  <c r="T28"/>
  <c r="T33"/>
  <c r="T30"/>
  <c r="T34"/>
</calcChain>
</file>

<file path=xl/sharedStrings.xml><?xml version="1.0" encoding="utf-8"?>
<sst xmlns="http://schemas.openxmlformats.org/spreadsheetml/2006/main" count="62" uniqueCount="47">
  <si>
    <t>Linke Linse</t>
  </si>
  <si>
    <t>a</t>
  </si>
  <si>
    <t>delta</t>
  </si>
  <si>
    <t>x</t>
  </si>
  <si>
    <t>y+</t>
  </si>
  <si>
    <t>y-</t>
  </si>
  <si>
    <t>LR</t>
  </si>
  <si>
    <t>Rechte Linse</t>
  </si>
  <si>
    <t>b</t>
  </si>
  <si>
    <t>RR</t>
  </si>
  <si>
    <t xml:space="preserve"> </t>
  </si>
  <si>
    <t>Einfallender Strahl</t>
  </si>
  <si>
    <t>y</t>
  </si>
  <si>
    <t>m</t>
  </si>
  <si>
    <t>n</t>
  </si>
  <si>
    <t>Durchgehender Strahl</t>
  </si>
  <si>
    <t>p</t>
  </si>
  <si>
    <t>q</t>
  </si>
  <si>
    <t>v</t>
  </si>
  <si>
    <t>w</t>
  </si>
  <si>
    <t>Ausfallender Strahl</t>
  </si>
  <si>
    <t>Brechungsindex der Linse</t>
  </si>
  <si>
    <t>D</t>
  </si>
  <si>
    <t>Blendendurchmesser</t>
  </si>
  <si>
    <t>ni</t>
  </si>
  <si>
    <t>Linsendicke</t>
  </si>
  <si>
    <t>LD</t>
  </si>
  <si>
    <t>Proportionalitätsfaktor</t>
  </si>
  <si>
    <t>XB</t>
  </si>
  <si>
    <t>YB</t>
  </si>
  <si>
    <t>alpha</t>
  </si>
  <si>
    <t>beta</t>
  </si>
  <si>
    <t>epsilon</t>
  </si>
  <si>
    <t>sigma</t>
  </si>
  <si>
    <t>ZF</t>
  </si>
  <si>
    <t>XA</t>
  </si>
  <si>
    <t>YA</t>
  </si>
  <si>
    <t>mue</t>
  </si>
  <si>
    <t>gamma</t>
  </si>
  <si>
    <t>psi</t>
  </si>
  <si>
    <t>Brennpunkt f</t>
  </si>
  <si>
    <t>Winkel in Grad</t>
  </si>
  <si>
    <t>Blende</t>
  </si>
  <si>
    <t>Brennpunkt</t>
  </si>
  <si>
    <t>f</t>
  </si>
  <si>
    <t>x Wert</t>
  </si>
  <si>
    <t>theoretisch für dünne Linsen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</si>
</sst>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Fill="1" applyBorder="1"/>
    <xf numFmtId="0" fontId="0" fillId="0" borderId="0" xfId="0" applyFont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2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5" borderId="1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6" borderId="1" xfId="0" applyFont="1" applyFill="1" applyBorder="1" applyAlignment="1"/>
    <xf numFmtId="0" fontId="0" fillId="6" borderId="2" xfId="0" applyFont="1" applyFill="1" applyBorder="1" applyAlignment="1"/>
    <xf numFmtId="0" fontId="0" fillId="6" borderId="3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2.3501199040767379E-2"/>
          <c:y val="7.6169189841771831E-2"/>
          <c:w val="0.95089625937045663"/>
          <c:h val="0.87298952624137782"/>
        </c:manualLayout>
      </c:layout>
      <c:scatterChart>
        <c:scatterStyle val="smoothMarker"/>
        <c:ser>
          <c:idx val="0"/>
          <c:order val="0"/>
          <c:tx>
            <c:v>Rechte Linse</c:v>
          </c:tx>
          <c:spPr>
            <a:ln w="25400"/>
          </c:spPr>
          <c:marker>
            <c:symbol val="none"/>
          </c:marker>
          <c:xVal>
            <c:numRef>
              <c:f>Linse!$A$12:$A$32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Linse!$H$14:$H$34</c:f>
              <c:numCache>
                <c:formatCode>General</c:formatCode>
                <c:ptCount val="21"/>
                <c:pt idx="10">
                  <c:v>62.44997998398398</c:v>
                </c:pt>
                <c:pt idx="11">
                  <c:v>59.321159799855565</c:v>
                </c:pt>
                <c:pt idx="12">
                  <c:v>56</c:v>
                </c:pt>
                <c:pt idx="13">
                  <c:v>52.449976167773421</c:v>
                </c:pt>
                <c:pt idx="14">
                  <c:v>48.620983124572874</c:v>
                </c:pt>
                <c:pt idx="15">
                  <c:v>44.440972086577943</c:v>
                </c:pt>
                <c:pt idx="16">
                  <c:v>39.799497484264798</c:v>
                </c:pt>
                <c:pt idx="17">
                  <c:v>34.510867853474792</c:v>
                </c:pt>
                <c:pt idx="18">
                  <c:v>28.21347195933177</c:v>
                </c:pt>
                <c:pt idx="19">
                  <c:v>19.974984355438178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Rechte Linse</c:v>
          </c:tx>
          <c:spPr>
            <a:ln w="25400"/>
          </c:spPr>
          <c:marker>
            <c:symbol val="none"/>
          </c:marker>
          <c:xVal>
            <c:numRef>
              <c:f>Linse!$A$12:$A$32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Linse!$I$14:$I$34</c:f>
              <c:numCache>
                <c:formatCode>General</c:formatCode>
                <c:ptCount val="21"/>
                <c:pt idx="10">
                  <c:v>-62.44997998398398</c:v>
                </c:pt>
                <c:pt idx="11">
                  <c:v>-59.321159799855565</c:v>
                </c:pt>
                <c:pt idx="12">
                  <c:v>-56</c:v>
                </c:pt>
                <c:pt idx="13">
                  <c:v>-52.449976167773421</c:v>
                </c:pt>
                <c:pt idx="14">
                  <c:v>-48.620983124572874</c:v>
                </c:pt>
                <c:pt idx="15">
                  <c:v>-44.440972086577943</c:v>
                </c:pt>
                <c:pt idx="16">
                  <c:v>-39.799497484264798</c:v>
                </c:pt>
                <c:pt idx="17">
                  <c:v>-34.510867853474792</c:v>
                </c:pt>
                <c:pt idx="18">
                  <c:v>-28.21347195933177</c:v>
                </c:pt>
                <c:pt idx="19">
                  <c:v>-19.974984355438178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Linke Linse</c:v>
          </c:tx>
          <c:spPr>
            <a:ln w="25400"/>
          </c:spPr>
          <c:marker>
            <c:symbol val="none"/>
          </c:marker>
          <c:xVal>
            <c:numRef>
              <c:f>Linse!$A$12:$A$32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Linse!$D$24:$D$44</c:f>
              <c:numCache>
                <c:formatCode>General</c:formatCode>
                <c:ptCount val="21"/>
                <c:pt idx="0">
                  <c:v>0</c:v>
                </c:pt>
                <c:pt idx="1">
                  <c:v>19.974984355438178</c:v>
                </c:pt>
                <c:pt idx="2">
                  <c:v>28.21347195933177</c:v>
                </c:pt>
                <c:pt idx="3">
                  <c:v>34.510867853474792</c:v>
                </c:pt>
                <c:pt idx="4">
                  <c:v>39.799497484264798</c:v>
                </c:pt>
                <c:pt idx="5">
                  <c:v>44.440972086577943</c:v>
                </c:pt>
                <c:pt idx="6">
                  <c:v>48.620983124572874</c:v>
                </c:pt>
                <c:pt idx="7">
                  <c:v>52.449976167773421</c:v>
                </c:pt>
                <c:pt idx="8">
                  <c:v>56</c:v>
                </c:pt>
                <c:pt idx="9">
                  <c:v>59.321159799855565</c:v>
                </c:pt>
                <c:pt idx="10">
                  <c:v>62.44997998398398</c:v>
                </c:pt>
              </c:numCache>
            </c:numRef>
          </c:yVal>
          <c:smooth val="1"/>
        </c:ser>
        <c:ser>
          <c:idx val="3"/>
          <c:order val="3"/>
          <c:tx>
            <c:v>Linke Linse</c:v>
          </c:tx>
          <c:spPr>
            <a:ln w="25400"/>
          </c:spPr>
          <c:marker>
            <c:symbol val="none"/>
          </c:marker>
          <c:xVal>
            <c:numRef>
              <c:f>Linse!$A$12:$A$32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Linse!$E$24:$E$34</c:f>
              <c:numCache>
                <c:formatCode>General</c:formatCode>
                <c:ptCount val="11"/>
                <c:pt idx="0">
                  <c:v>0</c:v>
                </c:pt>
                <c:pt idx="1">
                  <c:v>-19.974984355438178</c:v>
                </c:pt>
                <c:pt idx="2">
                  <c:v>-28.21347195933177</c:v>
                </c:pt>
                <c:pt idx="3">
                  <c:v>-34.510867853474792</c:v>
                </c:pt>
                <c:pt idx="4">
                  <c:v>-39.799497484264798</c:v>
                </c:pt>
                <c:pt idx="5">
                  <c:v>-44.440972086577943</c:v>
                </c:pt>
                <c:pt idx="6">
                  <c:v>-48.620983124572874</c:v>
                </c:pt>
                <c:pt idx="7">
                  <c:v>-52.449976167773421</c:v>
                </c:pt>
                <c:pt idx="8">
                  <c:v>-56</c:v>
                </c:pt>
                <c:pt idx="9">
                  <c:v>-59.321159799855565</c:v>
                </c:pt>
                <c:pt idx="10">
                  <c:v>-62.44997998398398</c:v>
                </c:pt>
              </c:numCache>
            </c:numRef>
          </c:yVal>
          <c:smooth val="1"/>
        </c:ser>
        <c:ser>
          <c:idx val="4"/>
          <c:order val="4"/>
          <c:tx>
            <c:v>Einfallender Strahl</c:v>
          </c:tx>
          <c:spPr>
            <a:ln w="19050"/>
          </c:spPr>
          <c:marker>
            <c:symbol val="none"/>
          </c:marker>
          <c:xVal>
            <c:numRef>
              <c:f>Linse!$A$3:$A$22</c:f>
              <c:numCache>
                <c:formatCode>General</c:formatCode>
                <c:ptCount val="20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</c:numCache>
            </c:numRef>
          </c:xVal>
          <c:yVal>
            <c:numRef>
              <c:f>Linse!$L$14:$L$33</c:f>
              <c:numCache>
                <c:formatCode>General</c:formatCode>
                <c:ptCount val="2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</c:numCache>
            </c:numRef>
          </c:yVal>
          <c:smooth val="1"/>
        </c:ser>
        <c:ser>
          <c:idx val="5"/>
          <c:order val="5"/>
          <c:tx>
            <c:v>Durchgehender Strahl</c:v>
          </c:tx>
          <c:spPr>
            <a:ln w="19050"/>
          </c:spPr>
          <c:marker>
            <c:symbol val="none"/>
          </c:marker>
          <c:xVal>
            <c:numRef>
              <c:f>Linse!$A$13:$A$31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Linse!$P$15:$P$33</c:f>
              <c:numCache>
                <c:formatCode>General</c:formatCode>
                <c:ptCount val="19"/>
                <c:pt idx="0">
                  <c:v>30.071652792629123</c:v>
                </c:pt>
                <c:pt idx="1">
                  <c:v>30.014911618433402</c:v>
                </c:pt>
                <c:pt idx="2">
                  <c:v>29.958170444237684</c:v>
                </c:pt>
                <c:pt idx="3">
                  <c:v>29.901429270041962</c:v>
                </c:pt>
                <c:pt idx="4">
                  <c:v>29.844688095846244</c:v>
                </c:pt>
                <c:pt idx="5">
                  <c:v>29.787946921650523</c:v>
                </c:pt>
                <c:pt idx="6">
                  <c:v>29.731205747454805</c:v>
                </c:pt>
                <c:pt idx="7">
                  <c:v>29.674464573259083</c:v>
                </c:pt>
                <c:pt idx="8">
                  <c:v>29.617723399063365</c:v>
                </c:pt>
                <c:pt idx="9">
                  <c:v>29.560982224867644</c:v>
                </c:pt>
                <c:pt idx="10">
                  <c:v>29.504241050671922</c:v>
                </c:pt>
                <c:pt idx="11">
                  <c:v>29.447499876476204</c:v>
                </c:pt>
                <c:pt idx="12">
                  <c:v>29.390758702280483</c:v>
                </c:pt>
                <c:pt idx="13">
                  <c:v>29.334017528084765</c:v>
                </c:pt>
                <c:pt idx="14">
                  <c:v>29.277276353889043</c:v>
                </c:pt>
                <c:pt idx="15">
                  <c:v>29.220535179693325</c:v>
                </c:pt>
                <c:pt idx="16">
                  <c:v>29.163794005497603</c:v>
                </c:pt>
                <c:pt idx="17">
                  <c:v>29.107052831301885</c:v>
                </c:pt>
                <c:pt idx="18">
                  <c:v>29.050311657106164</c:v>
                </c:pt>
              </c:numCache>
            </c:numRef>
          </c:yVal>
          <c:smooth val="1"/>
        </c:ser>
        <c:ser>
          <c:idx val="6"/>
          <c:order val="6"/>
          <c:tx>
            <c:v>Ausfallender Strahl</c:v>
          </c:tx>
          <c:spPr>
            <a:ln w="19050"/>
          </c:spPr>
          <c:marker>
            <c:symbol val="none"/>
          </c:marker>
          <c:xVal>
            <c:numRef>
              <c:f>Linse!$A$14:$A$47</c:f>
              <c:numCache>
                <c:formatCode>General</c:formatCode>
                <c:ptCount val="34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20</c:v>
                </c:pt>
                <c:pt idx="25">
                  <c:v>40</c:v>
                </c:pt>
                <c:pt idx="26">
                  <c:v>60</c:v>
                </c:pt>
                <c:pt idx="27">
                  <c:v>80</c:v>
                </c:pt>
                <c:pt idx="28">
                  <c:v>100</c:v>
                </c:pt>
                <c:pt idx="29">
                  <c:v>120</c:v>
                </c:pt>
                <c:pt idx="30">
                  <c:v>140</c:v>
                </c:pt>
                <c:pt idx="31">
                  <c:v>160</c:v>
                </c:pt>
                <c:pt idx="32">
                  <c:v>180</c:v>
                </c:pt>
                <c:pt idx="33">
                  <c:v>200</c:v>
                </c:pt>
              </c:numCache>
            </c:numRef>
          </c:xVal>
          <c:yVal>
            <c:numRef>
              <c:f>Linse!$T$14:$T$47</c:f>
              <c:numCache>
                <c:formatCode>General</c:formatCode>
                <c:ptCount val="34"/>
                <c:pt idx="10">
                  <c:v>30.194530492653499</c:v>
                </c:pt>
                <c:pt idx="11">
                  <c:v>30.010516537135494</c:v>
                </c:pt>
                <c:pt idx="12">
                  <c:v>29.82650258161749</c:v>
                </c:pt>
                <c:pt idx="13">
                  <c:v>29.642488626099485</c:v>
                </c:pt>
                <c:pt idx="14">
                  <c:v>29.458474670581481</c:v>
                </c:pt>
                <c:pt idx="15">
                  <c:v>29.274460715063476</c:v>
                </c:pt>
                <c:pt idx="16">
                  <c:v>29.090446759545472</c:v>
                </c:pt>
                <c:pt idx="17">
                  <c:v>28.906432804027467</c:v>
                </c:pt>
                <c:pt idx="18">
                  <c:v>28.722418848509463</c:v>
                </c:pt>
                <c:pt idx="19">
                  <c:v>28.538404892991458</c:v>
                </c:pt>
                <c:pt idx="20">
                  <c:v>28.354390937473454</c:v>
                </c:pt>
                <c:pt idx="21">
                  <c:v>28.170376981955449</c:v>
                </c:pt>
                <c:pt idx="22">
                  <c:v>27.986363026437445</c:v>
                </c:pt>
                <c:pt idx="23">
                  <c:v>27.802349070919441</c:v>
                </c:pt>
                <c:pt idx="24">
                  <c:v>26.882279293329418</c:v>
                </c:pt>
                <c:pt idx="25">
                  <c:v>23.202000182969332</c:v>
                </c:pt>
                <c:pt idx="26">
                  <c:v>19.521721072609246</c:v>
                </c:pt>
                <c:pt idx="27">
                  <c:v>15.841441962249156</c:v>
                </c:pt>
                <c:pt idx="28">
                  <c:v>12.161162851889067</c:v>
                </c:pt>
                <c:pt idx="29">
                  <c:v>8.4808837415289808</c:v>
                </c:pt>
                <c:pt idx="30">
                  <c:v>4.8006046311688912</c:v>
                </c:pt>
                <c:pt idx="31">
                  <c:v>1.1203255208088052</c:v>
                </c:pt>
                <c:pt idx="32">
                  <c:v>-2.5599535895512844</c:v>
                </c:pt>
                <c:pt idx="33">
                  <c:v>-6.240232699911374</c:v>
                </c:pt>
              </c:numCache>
            </c:numRef>
          </c:yVal>
          <c:smooth val="1"/>
        </c:ser>
        <c:axId val="57066624"/>
        <c:axId val="57068160"/>
      </c:scatterChart>
      <c:valAx>
        <c:axId val="57066624"/>
        <c:scaling>
          <c:orientation val="minMax"/>
          <c:max val="50"/>
          <c:min val="-50"/>
        </c:scaling>
        <c:axPos val="b"/>
        <c:majorGridlines/>
        <c:numFmt formatCode="General" sourceLinked="1"/>
        <c:tickLblPos val="nextTo"/>
        <c:crossAx val="57068160"/>
        <c:crosses val="autoZero"/>
        <c:crossBetween val="midCat"/>
        <c:minorUnit val="25"/>
      </c:valAx>
      <c:valAx>
        <c:axId val="57068160"/>
        <c:scaling>
          <c:orientation val="minMax"/>
          <c:max val="75"/>
          <c:min val="-75"/>
        </c:scaling>
        <c:axPos val="l"/>
        <c:majorGridlines/>
        <c:numFmt formatCode="General" sourceLinked="1"/>
        <c:tickLblPos val="nextTo"/>
        <c:crossAx val="57066624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61970280920418752"/>
          <c:y val="0.7100047568657406"/>
          <c:w val="0.31648383061276375"/>
          <c:h val="0.18008949003605268"/>
        </c:manualLayout>
      </c:layout>
      <c:spPr>
        <a:solidFill>
          <a:schemeClr val="bg1"/>
        </a:solidFill>
      </c:spPr>
    </c:legend>
    <c:plotVisOnly val="1"/>
  </c:chart>
  <c:spPr>
    <a:ln>
      <a:noFill/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47627</xdr:colOff>
      <xdr:row>9</xdr:row>
      <xdr:rowOff>0</xdr:rowOff>
    </xdr:from>
    <xdr:to>
      <xdr:col>29</xdr:col>
      <xdr:colOff>495300</xdr:colOff>
      <xdr:row>46</xdr:row>
      <xdr:rowOff>38099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abSelected="1" workbookViewId="0">
      <selection activeCell="X6" sqref="X6"/>
    </sheetView>
  </sheetViews>
  <sheetFormatPr baseColWidth="10" defaultRowHeight="15"/>
  <cols>
    <col min="1" max="1" width="6.7109375" style="2" customWidth="1"/>
    <col min="2" max="2" width="1.7109375" style="2" customWidth="1"/>
    <col min="3" max="5" width="6.7109375" style="2" customWidth="1"/>
    <col min="6" max="6" width="1.7109375" style="2" customWidth="1"/>
    <col min="7" max="9" width="6.7109375" style="2" customWidth="1"/>
    <col min="10" max="10" width="1.7109375" style="2" customWidth="1"/>
    <col min="11" max="13" width="6.7109375" style="2" customWidth="1"/>
    <col min="14" max="14" width="1.7109375" style="2" customWidth="1"/>
    <col min="15" max="17" width="6.7109375" style="2" customWidth="1"/>
    <col min="18" max="18" width="1.7109375" style="2" customWidth="1"/>
    <col min="19" max="21" width="6.7109375" style="2" customWidth="1"/>
    <col min="22" max="22" width="1.7109375" style="2" customWidth="1"/>
    <col min="23" max="30" width="11.42578125" style="2"/>
    <col min="31" max="35" width="6.7109375" style="11" customWidth="1"/>
    <col min="36" max="16384" width="11.42578125" style="2"/>
  </cols>
  <sheetData>
    <row r="1" spans="1:35">
      <c r="A1" s="16" t="s">
        <v>45</v>
      </c>
      <c r="L1" s="8" t="s">
        <v>41</v>
      </c>
      <c r="M1" s="9"/>
      <c r="T1" s="8" t="s">
        <v>41</v>
      </c>
      <c r="U1" s="9"/>
      <c r="AF1" s="7">
        <v>200</v>
      </c>
      <c r="AG1" s="7">
        <v>100</v>
      </c>
      <c r="AH1" s="7">
        <v>50</v>
      </c>
      <c r="AI1" s="7">
        <v>25</v>
      </c>
    </row>
    <row r="2" spans="1:35">
      <c r="A2" s="3">
        <v>-60</v>
      </c>
      <c r="C2" s="4">
        <v>1.6</v>
      </c>
      <c r="D2" s="4" t="s">
        <v>24</v>
      </c>
      <c r="E2" s="2" t="s">
        <v>21</v>
      </c>
      <c r="K2" s="5">
        <f>a-SQRT(LR*LR-(D/2*D/2))</f>
        <v>-7.7371993328518727</v>
      </c>
      <c r="L2" s="2" t="s">
        <v>28</v>
      </c>
      <c r="S2" s="6">
        <f>(b-q*p)/(1+p*p) + (SQRT(RR*RR-q*q+RR*RR*p*p-b*b*p*p-2*b*q*p))/(1+p*p)</f>
        <v>7.8695237773239057</v>
      </c>
      <c r="T2" s="2" t="s">
        <v>35</v>
      </c>
      <c r="AE2" s="12" t="s">
        <v>42</v>
      </c>
      <c r="AF2" s="20" t="s">
        <v>43</v>
      </c>
      <c r="AG2" s="20"/>
      <c r="AH2" s="20"/>
      <c r="AI2" s="20"/>
    </row>
    <row r="3" spans="1:35">
      <c r="A3" s="3">
        <v>-50</v>
      </c>
      <c r="C3" s="4">
        <v>60</v>
      </c>
      <c r="D3" s="4" t="s">
        <v>22</v>
      </c>
      <c r="E3" s="2" t="s">
        <v>23</v>
      </c>
      <c r="K3" s="5">
        <f>D/2</f>
        <v>30</v>
      </c>
      <c r="L3" s="2" t="s">
        <v>29</v>
      </c>
      <c r="S3" s="6">
        <f>p*XA+q</f>
        <v>29.114456205381149</v>
      </c>
      <c r="T3" s="2" t="s">
        <v>36</v>
      </c>
      <c r="AE3" s="12" t="s">
        <v>22</v>
      </c>
      <c r="AF3" s="12" t="s">
        <v>44</v>
      </c>
      <c r="AG3" s="12" t="s">
        <v>44</v>
      </c>
      <c r="AH3" s="12" t="s">
        <v>44</v>
      </c>
      <c r="AI3" s="12" t="s">
        <v>44</v>
      </c>
    </row>
    <row r="4" spans="1:35">
      <c r="A4" s="3">
        <v>-40</v>
      </c>
      <c r="C4" s="7">
        <f>RR+b+LR-a</f>
        <v>20</v>
      </c>
      <c r="D4" s="7" t="s">
        <v>26</v>
      </c>
      <c r="E4" s="2" t="s">
        <v>25</v>
      </c>
      <c r="K4" s="5">
        <f>ASIN(D/2/LR)</f>
        <v>0.15056827277668605</v>
      </c>
      <c r="L4" s="10">
        <f>K4/PI()*180</f>
        <v>8.6269265586786386</v>
      </c>
      <c r="M4" s="2" t="s">
        <v>30</v>
      </c>
      <c r="S4" s="6">
        <f>ATAN(-(XA-b)/SQRT(RR*RR-(XA-b)*(XA-b)))</f>
        <v>-1.4247049360520443</v>
      </c>
      <c r="T4" s="10">
        <f>S4/PI()*180</f>
        <v>-81.629579887237981</v>
      </c>
      <c r="U4" s="2" t="s">
        <v>37</v>
      </c>
      <c r="AE4" s="12">
        <v>5</v>
      </c>
      <c r="AF4" s="17">
        <v>173.43</v>
      </c>
      <c r="AG4" s="17">
        <v>89.99</v>
      </c>
      <c r="AH4" s="17">
        <v>48.13</v>
      </c>
      <c r="AI4" s="17">
        <v>26.93</v>
      </c>
    </row>
    <row r="5" spans="1:35">
      <c r="A5" s="3">
        <v>-30</v>
      </c>
      <c r="C5" s="7">
        <f>LR/D</f>
        <v>3.3333333333333335</v>
      </c>
      <c r="D5" s="7" t="s">
        <v>34</v>
      </c>
      <c r="E5" s="2" t="s">
        <v>27</v>
      </c>
      <c r="K5" s="5">
        <f>ASIN(D/2/ni/LR)</f>
        <v>9.3887875107516477E-2</v>
      </c>
      <c r="L5" s="10">
        <f t="shared" ref="L5:L7" si="0">K5/PI()*180</f>
        <v>5.3793789911120742</v>
      </c>
      <c r="M5" s="2" t="s">
        <v>31</v>
      </c>
      <c r="S5" s="6">
        <f>PI()-(PI()/2-mue+sigma)</f>
        <v>0.20277178841202215</v>
      </c>
      <c r="T5" s="10">
        <f t="shared" ref="T5:T7" si="1">S5/PI()*180</f>
        <v>11.617967680328601</v>
      </c>
      <c r="U5" s="2" t="s">
        <v>38</v>
      </c>
      <c r="AE5" s="7">
        <v>10</v>
      </c>
      <c r="AF5" s="18">
        <v>173.28</v>
      </c>
      <c r="AG5" s="18">
        <v>89.72</v>
      </c>
      <c r="AH5" s="18">
        <v>47.65</v>
      </c>
      <c r="AI5" s="18">
        <v>26.23</v>
      </c>
    </row>
    <row r="6" spans="1:35">
      <c r="A6" s="3">
        <v>-20</v>
      </c>
      <c r="K6" s="5">
        <f>ATAN(2/D*SQRT(LR*LR-(D/2*D/2)))</f>
        <v>1.4202280540182106</v>
      </c>
      <c r="L6" s="10">
        <f t="shared" si="0"/>
        <v>81.373073441321367</v>
      </c>
      <c r="M6" s="2" t="s">
        <v>32</v>
      </c>
      <c r="S6" s="6">
        <f>ASIN(ni*SIN(gamma))</f>
        <v>0.32806957518088081</v>
      </c>
      <c r="T6" s="10">
        <f t="shared" si="1"/>
        <v>18.797002044514333</v>
      </c>
      <c r="U6" s="2" t="s">
        <v>2</v>
      </c>
      <c r="AE6" s="7">
        <v>20</v>
      </c>
      <c r="AF6" s="18">
        <v>172.69</v>
      </c>
      <c r="AG6" s="18">
        <v>88.6</v>
      </c>
      <c r="AH6" s="18">
        <v>45.63</v>
      </c>
      <c r="AI6" s="18">
        <v>22.8</v>
      </c>
    </row>
    <row r="7" spans="1:35">
      <c r="A7" s="3">
        <v>-15</v>
      </c>
      <c r="K7" s="6">
        <f>beta-alpha</f>
        <v>-5.6680397669169574E-2</v>
      </c>
      <c r="L7" s="10">
        <f t="shared" si="0"/>
        <v>-3.2475475675665653</v>
      </c>
      <c r="M7" s="2" t="s">
        <v>33</v>
      </c>
      <c r="S7" s="6">
        <f>-(delta-gamma-sigma)</f>
        <v>-0.18197818443802824</v>
      </c>
      <c r="T7" s="10">
        <f t="shared" si="1"/>
        <v>-10.426581931752295</v>
      </c>
      <c r="U7" s="2" t="s">
        <v>39</v>
      </c>
      <c r="AE7" s="7">
        <v>40</v>
      </c>
      <c r="AF7" s="18">
        <v>170.26</v>
      </c>
      <c r="AG7" s="18">
        <v>83.83</v>
      </c>
      <c r="AH7" s="18">
        <v>34.909999999999997</v>
      </c>
      <c r="AI7" s="18"/>
    </row>
    <row r="8" spans="1:35">
      <c r="A8" s="3">
        <v>-14</v>
      </c>
      <c r="S8" s="1">
        <f>-w/v</f>
        <v>166.08826389093727</v>
      </c>
      <c r="T8" s="2" t="s">
        <v>40</v>
      </c>
      <c r="AE8" s="7">
        <v>60</v>
      </c>
      <c r="AF8" s="18">
        <v>166.09</v>
      </c>
      <c r="AG8" s="18">
        <v>74.06</v>
      </c>
      <c r="AH8" s="18"/>
      <c r="AI8" s="18"/>
    </row>
    <row r="9" spans="1:35">
      <c r="A9" s="3">
        <v>-13</v>
      </c>
      <c r="AE9" s="7">
        <v>80</v>
      </c>
      <c r="AF9" s="18">
        <v>159.93</v>
      </c>
      <c r="AG9" s="18">
        <v>56.984999999999999</v>
      </c>
      <c r="AH9" s="18"/>
      <c r="AI9" s="18"/>
    </row>
    <row r="10" spans="1:35">
      <c r="A10" s="3">
        <v>-12</v>
      </c>
      <c r="C10" s="30" t="s">
        <v>0</v>
      </c>
      <c r="D10" s="31"/>
      <c r="E10" s="32"/>
      <c r="G10" s="30" t="s">
        <v>7</v>
      </c>
      <c r="H10" s="31"/>
      <c r="I10" s="32"/>
      <c r="K10" s="21" t="s">
        <v>11</v>
      </c>
      <c r="L10" s="22"/>
      <c r="M10" s="23"/>
      <c r="O10" s="24" t="s">
        <v>15</v>
      </c>
      <c r="P10" s="25"/>
      <c r="Q10" s="26"/>
      <c r="S10" s="27" t="s">
        <v>20</v>
      </c>
      <c r="T10" s="28"/>
      <c r="U10" s="29"/>
      <c r="AE10" s="7">
        <v>100</v>
      </c>
      <c r="AF10" s="18">
        <v>151.38</v>
      </c>
      <c r="AG10" s="18"/>
      <c r="AH10" s="18"/>
      <c r="AI10" s="18"/>
    </row>
    <row r="11" spans="1:35">
      <c r="A11" s="3">
        <v>-11</v>
      </c>
      <c r="C11" s="4" t="s">
        <v>1</v>
      </c>
      <c r="D11" s="4" t="s">
        <v>6</v>
      </c>
      <c r="E11" s="4"/>
      <c r="G11" s="4" t="s">
        <v>8</v>
      </c>
      <c r="H11" s="4" t="s">
        <v>9</v>
      </c>
      <c r="I11" s="4"/>
      <c r="K11" s="15" t="s">
        <v>13</v>
      </c>
      <c r="L11" s="15" t="s">
        <v>14</v>
      </c>
      <c r="O11" s="15" t="s">
        <v>16</v>
      </c>
      <c r="P11" s="15" t="s">
        <v>17</v>
      </c>
      <c r="S11" s="15" t="s">
        <v>18</v>
      </c>
      <c r="T11" s="15" t="s">
        <v>19</v>
      </c>
      <c r="AF11" s="19"/>
      <c r="AG11" s="19"/>
      <c r="AH11" s="19"/>
      <c r="AI11" s="19"/>
    </row>
    <row r="12" spans="1:35">
      <c r="A12" s="3">
        <v>-10</v>
      </c>
      <c r="C12" s="4">
        <v>190</v>
      </c>
      <c r="D12" s="4">
        <v>200</v>
      </c>
      <c r="E12" s="4"/>
      <c r="F12" s="14"/>
      <c r="G12" s="4">
        <v>-190</v>
      </c>
      <c r="H12" s="4">
        <v>200</v>
      </c>
      <c r="I12" s="4"/>
      <c r="K12" s="4">
        <v>0</v>
      </c>
      <c r="L12" s="4">
        <f>D/2</f>
        <v>30</v>
      </c>
      <c r="O12" s="4">
        <f>TAN(sigma)</f>
        <v>-5.6741174195719918E-2</v>
      </c>
      <c r="P12" s="4">
        <f>YB-XB*TAN(sigma)</f>
        <v>29.560982224867644</v>
      </c>
      <c r="S12" s="4">
        <f>TAN(psi)</f>
        <v>-0.1840139555180044</v>
      </c>
      <c r="T12" s="4">
        <f>YA-v*XA</f>
        <v>30.562558403689508</v>
      </c>
      <c r="AE12" s="13" t="s">
        <v>44</v>
      </c>
      <c r="AF12" s="18">
        <f>1/(2*(ni-1)/AF1)</f>
        <v>166.66666666666663</v>
      </c>
      <c r="AG12" s="18">
        <f>1/(2*(ni-1)/AG1)</f>
        <v>83.333333333333314</v>
      </c>
      <c r="AH12" s="18">
        <f>1/(2*(ni-1)/AH1)</f>
        <v>41.666666666666657</v>
      </c>
      <c r="AI12" s="18">
        <f>1/(2*(ni-1)/AI1)</f>
        <v>20.833333333333329</v>
      </c>
    </row>
    <row r="13" spans="1:35">
      <c r="A13" s="3">
        <v>-9</v>
      </c>
      <c r="C13" s="3" t="s">
        <v>3</v>
      </c>
      <c r="D13" s="3" t="s">
        <v>4</v>
      </c>
      <c r="E13" s="3" t="s">
        <v>5</v>
      </c>
      <c r="G13" s="3" t="s">
        <v>3</v>
      </c>
      <c r="H13" s="3" t="s">
        <v>4</v>
      </c>
      <c r="I13" s="3" t="s">
        <v>5</v>
      </c>
      <c r="K13" s="3" t="s">
        <v>3</v>
      </c>
      <c r="L13" s="3" t="s">
        <v>12</v>
      </c>
      <c r="M13" s="2" t="s">
        <v>10</v>
      </c>
      <c r="O13" s="3" t="s">
        <v>3</v>
      </c>
      <c r="P13" s="3" t="s">
        <v>12</v>
      </c>
      <c r="Q13" s="2" t="s">
        <v>10</v>
      </c>
      <c r="S13" s="3" t="s">
        <v>3</v>
      </c>
      <c r="T13" s="3" t="s">
        <v>12</v>
      </c>
      <c r="AE13" s="20" t="s">
        <v>46</v>
      </c>
      <c r="AF13" s="20"/>
      <c r="AG13" s="20"/>
      <c r="AH13" s="20"/>
      <c r="AI13" s="20"/>
    </row>
    <row r="14" spans="1:35">
      <c r="A14" s="3">
        <v>-8</v>
      </c>
      <c r="C14" s="7">
        <f>A2</f>
        <v>-60</v>
      </c>
      <c r="D14" s="5"/>
      <c r="E14" s="5"/>
      <c r="G14" s="7">
        <f>A12</f>
        <v>-10</v>
      </c>
      <c r="H14" s="7"/>
      <c r="I14" s="7"/>
      <c r="K14" s="7">
        <f>A3</f>
        <v>-50</v>
      </c>
      <c r="L14" s="7">
        <f t="shared" ref="L14:L31" si="2">m*K14+n</f>
        <v>30</v>
      </c>
      <c r="O14" s="7">
        <f>A12</f>
        <v>-10</v>
      </c>
      <c r="P14" s="7"/>
      <c r="S14" s="7">
        <f t="shared" ref="S14:S37" si="3">A14</f>
        <v>-8</v>
      </c>
      <c r="T14" s="7"/>
    </row>
    <row r="15" spans="1:35">
      <c r="A15" s="3">
        <v>-7</v>
      </c>
      <c r="C15" s="7">
        <f>A3</f>
        <v>-50</v>
      </c>
      <c r="D15" s="5"/>
      <c r="E15" s="5"/>
      <c r="G15" s="7">
        <f t="shared" ref="G15:G46" si="4">A13</f>
        <v>-9</v>
      </c>
      <c r="H15" s="7"/>
      <c r="I15" s="7"/>
      <c r="K15" s="7">
        <f t="shared" ref="K15:K32" si="5">A4</f>
        <v>-40</v>
      </c>
      <c r="L15" s="7">
        <f t="shared" si="2"/>
        <v>30</v>
      </c>
      <c r="O15" s="7">
        <f t="shared" ref="O15:O46" si="6">A13</f>
        <v>-9</v>
      </c>
      <c r="P15" s="7">
        <f t="shared" ref="P15:P33" si="7">p*O15+q</f>
        <v>30.071652792629123</v>
      </c>
      <c r="S15" s="7">
        <f t="shared" si="3"/>
        <v>-7</v>
      </c>
      <c r="T15" s="7"/>
    </row>
    <row r="16" spans="1:35">
      <c r="A16" s="3">
        <v>-6</v>
      </c>
      <c r="C16" s="7">
        <f t="shared" ref="C16:C39" si="8">A4</f>
        <v>-40</v>
      </c>
      <c r="D16" s="5"/>
      <c r="E16" s="5"/>
      <c r="G16" s="7">
        <f t="shared" si="4"/>
        <v>-8</v>
      </c>
      <c r="H16" s="7"/>
      <c r="I16" s="7"/>
      <c r="K16" s="7">
        <f t="shared" si="5"/>
        <v>-30</v>
      </c>
      <c r="L16" s="7">
        <f t="shared" si="2"/>
        <v>30</v>
      </c>
      <c r="O16" s="7">
        <f t="shared" si="6"/>
        <v>-8</v>
      </c>
      <c r="P16" s="7">
        <f t="shared" si="7"/>
        <v>30.014911618433402</v>
      </c>
      <c r="S16" s="7">
        <f t="shared" si="3"/>
        <v>-6</v>
      </c>
      <c r="T16" s="7"/>
    </row>
    <row r="17" spans="1:20">
      <c r="A17" s="3">
        <v>-5</v>
      </c>
      <c r="C17" s="7">
        <f t="shared" si="8"/>
        <v>-30</v>
      </c>
      <c r="D17" s="5"/>
      <c r="E17" s="5"/>
      <c r="G17" s="7">
        <f t="shared" si="4"/>
        <v>-7</v>
      </c>
      <c r="H17" s="7"/>
      <c r="I17" s="7"/>
      <c r="K17" s="7">
        <f t="shared" si="5"/>
        <v>-20</v>
      </c>
      <c r="L17" s="7">
        <f t="shared" si="2"/>
        <v>30</v>
      </c>
      <c r="O17" s="7">
        <f t="shared" si="6"/>
        <v>-7</v>
      </c>
      <c r="P17" s="7">
        <f t="shared" si="7"/>
        <v>29.958170444237684</v>
      </c>
      <c r="S17" s="7">
        <f t="shared" si="3"/>
        <v>-5</v>
      </c>
      <c r="T17" s="7"/>
    </row>
    <row r="18" spans="1:20">
      <c r="A18" s="3">
        <v>-4</v>
      </c>
      <c r="C18" s="7">
        <f t="shared" si="8"/>
        <v>-20</v>
      </c>
      <c r="D18" s="5"/>
      <c r="E18" s="5"/>
      <c r="G18" s="7">
        <f t="shared" si="4"/>
        <v>-6</v>
      </c>
      <c r="H18" s="7"/>
      <c r="I18" s="7"/>
      <c r="K18" s="7">
        <f t="shared" si="5"/>
        <v>-15</v>
      </c>
      <c r="L18" s="7">
        <f t="shared" si="2"/>
        <v>30</v>
      </c>
      <c r="O18" s="7">
        <f t="shared" si="6"/>
        <v>-6</v>
      </c>
      <c r="P18" s="7">
        <f t="shared" si="7"/>
        <v>29.901429270041962</v>
      </c>
      <c r="S18" s="7">
        <f t="shared" si="3"/>
        <v>-4</v>
      </c>
      <c r="T18" s="7"/>
    </row>
    <row r="19" spans="1:20">
      <c r="A19" s="3">
        <v>-3</v>
      </c>
      <c r="C19" s="7">
        <f t="shared" si="8"/>
        <v>-15</v>
      </c>
      <c r="D19" s="5"/>
      <c r="E19" s="5"/>
      <c r="G19" s="7">
        <f t="shared" si="4"/>
        <v>-5</v>
      </c>
      <c r="H19" s="7"/>
      <c r="I19" s="7"/>
      <c r="K19" s="7">
        <f t="shared" si="5"/>
        <v>-14</v>
      </c>
      <c r="L19" s="7">
        <f t="shared" si="2"/>
        <v>30</v>
      </c>
      <c r="O19" s="7">
        <f t="shared" si="6"/>
        <v>-5</v>
      </c>
      <c r="P19" s="7">
        <f t="shared" si="7"/>
        <v>29.844688095846244</v>
      </c>
      <c r="S19" s="7">
        <f t="shared" si="3"/>
        <v>-3</v>
      </c>
      <c r="T19" s="7"/>
    </row>
    <row r="20" spans="1:20">
      <c r="A20" s="3">
        <v>-2</v>
      </c>
      <c r="C20" s="7">
        <f t="shared" si="8"/>
        <v>-14</v>
      </c>
      <c r="D20" s="5"/>
      <c r="E20" s="5"/>
      <c r="G20" s="7">
        <f t="shared" si="4"/>
        <v>-4</v>
      </c>
      <c r="H20" s="7"/>
      <c r="I20" s="7"/>
      <c r="K20" s="7">
        <f t="shared" si="5"/>
        <v>-13</v>
      </c>
      <c r="L20" s="7">
        <f t="shared" si="2"/>
        <v>30</v>
      </c>
      <c r="O20" s="7">
        <f t="shared" si="6"/>
        <v>-4</v>
      </c>
      <c r="P20" s="7">
        <f t="shared" si="7"/>
        <v>29.787946921650523</v>
      </c>
      <c r="S20" s="7">
        <f t="shared" si="3"/>
        <v>-2</v>
      </c>
      <c r="T20" s="7"/>
    </row>
    <row r="21" spans="1:20">
      <c r="A21" s="3">
        <v>-1</v>
      </c>
      <c r="C21" s="7">
        <f t="shared" si="8"/>
        <v>-13</v>
      </c>
      <c r="D21" s="5"/>
      <c r="E21" s="5"/>
      <c r="G21" s="7">
        <f t="shared" si="4"/>
        <v>-3</v>
      </c>
      <c r="H21" s="7"/>
      <c r="I21" s="7"/>
      <c r="K21" s="7">
        <f t="shared" si="5"/>
        <v>-12</v>
      </c>
      <c r="L21" s="7">
        <f t="shared" si="2"/>
        <v>30</v>
      </c>
      <c r="O21" s="7">
        <f t="shared" si="6"/>
        <v>-3</v>
      </c>
      <c r="P21" s="7">
        <f t="shared" si="7"/>
        <v>29.731205747454805</v>
      </c>
      <c r="S21" s="7">
        <f t="shared" si="3"/>
        <v>-1</v>
      </c>
      <c r="T21" s="7"/>
    </row>
    <row r="22" spans="1:20">
      <c r="A22" s="3">
        <v>0</v>
      </c>
      <c r="C22" s="7">
        <f t="shared" si="8"/>
        <v>-12</v>
      </c>
      <c r="D22" s="5"/>
      <c r="E22" s="5"/>
      <c r="G22" s="7">
        <f t="shared" si="4"/>
        <v>-2</v>
      </c>
      <c r="H22" s="7"/>
      <c r="I22" s="7"/>
      <c r="K22" s="7">
        <f t="shared" si="5"/>
        <v>-11</v>
      </c>
      <c r="L22" s="7">
        <f t="shared" si="2"/>
        <v>30</v>
      </c>
      <c r="O22" s="7">
        <f t="shared" si="6"/>
        <v>-2</v>
      </c>
      <c r="P22" s="7">
        <f t="shared" si="7"/>
        <v>29.674464573259083</v>
      </c>
      <c r="S22" s="7">
        <f t="shared" ref="S22:S26" si="9">A22</f>
        <v>0</v>
      </c>
      <c r="T22" s="7"/>
    </row>
    <row r="23" spans="1:20">
      <c r="A23" s="3">
        <v>1</v>
      </c>
      <c r="C23" s="7">
        <f t="shared" si="8"/>
        <v>-11</v>
      </c>
      <c r="D23" s="5"/>
      <c r="E23" s="5"/>
      <c r="G23" s="7">
        <f t="shared" si="4"/>
        <v>-1</v>
      </c>
      <c r="H23" s="7"/>
      <c r="I23" s="7"/>
      <c r="K23" s="7">
        <f t="shared" si="5"/>
        <v>-10</v>
      </c>
      <c r="L23" s="7">
        <f t="shared" si="2"/>
        <v>30</v>
      </c>
      <c r="O23" s="7">
        <f t="shared" si="6"/>
        <v>-1</v>
      </c>
      <c r="P23" s="7">
        <f t="shared" si="7"/>
        <v>29.617723399063365</v>
      </c>
      <c r="S23" s="7">
        <f t="shared" si="9"/>
        <v>1</v>
      </c>
      <c r="T23" s="7"/>
    </row>
    <row r="24" spans="1:20">
      <c r="A24" s="3">
        <v>2</v>
      </c>
      <c r="C24" s="7">
        <f t="shared" si="8"/>
        <v>-10</v>
      </c>
      <c r="D24" s="7">
        <f t="shared" ref="D24:D33" si="10">SQRT(LR*LR-($C24-a)*($C24-a))</f>
        <v>0</v>
      </c>
      <c r="E24" s="7">
        <f t="shared" ref="E24:E33" si="11">-SQRT(LR*LR-($C24-a)*($C24-a))</f>
        <v>0</v>
      </c>
      <c r="G24" s="7">
        <f t="shared" si="4"/>
        <v>0</v>
      </c>
      <c r="H24" s="7">
        <f t="shared" ref="H24:H34" si="12">SQRT(RR*RR-($G24-b)*($G24-b))</f>
        <v>62.44997998398398</v>
      </c>
      <c r="I24" s="7">
        <f t="shared" ref="I24:I34" si="13">-SQRT(RR*RR-($G24-b)*($G24-b))</f>
        <v>-62.44997998398398</v>
      </c>
      <c r="K24" s="7">
        <f t="shared" si="5"/>
        <v>-9</v>
      </c>
      <c r="L24" s="7">
        <f t="shared" si="2"/>
        <v>30</v>
      </c>
      <c r="O24" s="7">
        <f t="shared" si="6"/>
        <v>0</v>
      </c>
      <c r="P24" s="7">
        <f t="shared" si="7"/>
        <v>29.560982224867644</v>
      </c>
      <c r="S24" s="7">
        <f t="shared" si="9"/>
        <v>2</v>
      </c>
      <c r="T24" s="7">
        <f t="shared" ref="T24:T26" si="14">v*S24+w</f>
        <v>30.194530492653499</v>
      </c>
    </row>
    <row r="25" spans="1:20">
      <c r="A25" s="3">
        <v>3</v>
      </c>
      <c r="C25" s="7">
        <f t="shared" si="8"/>
        <v>-9</v>
      </c>
      <c r="D25" s="7">
        <f>SQRT(LR*LR-($C25-a)*($C25-a))</f>
        <v>19.974984355438178</v>
      </c>
      <c r="E25" s="7">
        <f t="shared" si="11"/>
        <v>-19.974984355438178</v>
      </c>
      <c r="G25" s="7">
        <f t="shared" si="4"/>
        <v>1</v>
      </c>
      <c r="H25" s="7">
        <f t="shared" si="12"/>
        <v>59.321159799855565</v>
      </c>
      <c r="I25" s="7">
        <f t="shared" si="13"/>
        <v>-59.321159799855565</v>
      </c>
      <c r="K25" s="7">
        <f>A14</f>
        <v>-8</v>
      </c>
      <c r="L25" s="7">
        <f t="shared" si="2"/>
        <v>30</v>
      </c>
      <c r="O25" s="7">
        <f t="shared" si="6"/>
        <v>1</v>
      </c>
      <c r="P25" s="7">
        <f t="shared" si="7"/>
        <v>29.504241050671922</v>
      </c>
      <c r="S25" s="7">
        <f t="shared" si="9"/>
        <v>3</v>
      </c>
      <c r="T25" s="7">
        <f t="shared" si="14"/>
        <v>30.010516537135494</v>
      </c>
    </row>
    <row r="26" spans="1:20">
      <c r="A26" s="3">
        <v>4</v>
      </c>
      <c r="C26" s="7">
        <f t="shared" si="8"/>
        <v>-8</v>
      </c>
      <c r="D26" s="7">
        <f t="shared" si="10"/>
        <v>28.21347195933177</v>
      </c>
      <c r="E26" s="7">
        <f t="shared" si="11"/>
        <v>-28.21347195933177</v>
      </c>
      <c r="G26" s="7">
        <f t="shared" si="4"/>
        <v>2</v>
      </c>
      <c r="H26" s="7">
        <f t="shared" si="12"/>
        <v>56</v>
      </c>
      <c r="I26" s="7">
        <f t="shared" si="13"/>
        <v>-56</v>
      </c>
      <c r="K26" s="7">
        <f t="shared" si="5"/>
        <v>-7</v>
      </c>
      <c r="L26" s="7">
        <f t="shared" si="2"/>
        <v>30</v>
      </c>
      <c r="O26" s="7">
        <f t="shared" si="6"/>
        <v>2</v>
      </c>
      <c r="P26" s="7">
        <f t="shared" si="7"/>
        <v>29.447499876476204</v>
      </c>
      <c r="S26" s="7">
        <f t="shared" si="9"/>
        <v>4</v>
      </c>
      <c r="T26" s="7">
        <f t="shared" si="14"/>
        <v>29.82650258161749</v>
      </c>
    </row>
    <row r="27" spans="1:20">
      <c r="A27" s="3">
        <v>5</v>
      </c>
      <c r="C27" s="7">
        <f t="shared" si="8"/>
        <v>-7</v>
      </c>
      <c r="D27" s="7">
        <f t="shared" si="10"/>
        <v>34.510867853474792</v>
      </c>
      <c r="E27" s="7">
        <f t="shared" si="11"/>
        <v>-34.510867853474792</v>
      </c>
      <c r="G27" s="7">
        <f t="shared" si="4"/>
        <v>3</v>
      </c>
      <c r="H27" s="7">
        <f t="shared" si="12"/>
        <v>52.449976167773421</v>
      </c>
      <c r="I27" s="7">
        <f t="shared" si="13"/>
        <v>-52.449976167773421</v>
      </c>
      <c r="K27" s="7">
        <f t="shared" si="5"/>
        <v>-6</v>
      </c>
      <c r="L27" s="7">
        <f t="shared" si="2"/>
        <v>30</v>
      </c>
      <c r="O27" s="7">
        <f t="shared" si="6"/>
        <v>3</v>
      </c>
      <c r="P27" s="7">
        <f t="shared" si="7"/>
        <v>29.390758702280483</v>
      </c>
      <c r="S27" s="7">
        <f t="shared" si="3"/>
        <v>5</v>
      </c>
      <c r="T27" s="7">
        <f t="shared" ref="T27:T42" si="15">v*S27+w</f>
        <v>29.642488626099485</v>
      </c>
    </row>
    <row r="28" spans="1:20">
      <c r="A28" s="3">
        <v>6</v>
      </c>
      <c r="C28" s="7">
        <f t="shared" si="8"/>
        <v>-6</v>
      </c>
      <c r="D28" s="7">
        <f t="shared" si="10"/>
        <v>39.799497484264798</v>
      </c>
      <c r="E28" s="7">
        <f t="shared" si="11"/>
        <v>-39.799497484264798</v>
      </c>
      <c r="G28" s="7">
        <f t="shared" si="4"/>
        <v>4</v>
      </c>
      <c r="H28" s="7">
        <f t="shared" si="12"/>
        <v>48.620983124572874</v>
      </c>
      <c r="I28" s="7">
        <f t="shared" si="13"/>
        <v>-48.620983124572874</v>
      </c>
      <c r="K28" s="7">
        <f t="shared" si="5"/>
        <v>-5</v>
      </c>
      <c r="L28" s="7">
        <f t="shared" si="2"/>
        <v>30</v>
      </c>
      <c r="O28" s="7">
        <f t="shared" si="6"/>
        <v>4</v>
      </c>
      <c r="P28" s="7">
        <f t="shared" si="7"/>
        <v>29.334017528084765</v>
      </c>
      <c r="S28" s="7">
        <f t="shared" si="3"/>
        <v>6</v>
      </c>
      <c r="T28" s="7">
        <f t="shared" si="15"/>
        <v>29.458474670581481</v>
      </c>
    </row>
    <row r="29" spans="1:20">
      <c r="A29" s="3">
        <v>7</v>
      </c>
      <c r="C29" s="7">
        <f t="shared" si="8"/>
        <v>-5</v>
      </c>
      <c r="D29" s="7">
        <f t="shared" si="10"/>
        <v>44.440972086577943</v>
      </c>
      <c r="E29" s="7">
        <f t="shared" si="11"/>
        <v>-44.440972086577943</v>
      </c>
      <c r="G29" s="7">
        <f t="shared" si="4"/>
        <v>5</v>
      </c>
      <c r="H29" s="7">
        <f t="shared" si="12"/>
        <v>44.440972086577943</v>
      </c>
      <c r="I29" s="7">
        <f t="shared" si="13"/>
        <v>-44.440972086577943</v>
      </c>
      <c r="K29" s="7">
        <f t="shared" si="5"/>
        <v>-4</v>
      </c>
      <c r="L29" s="7">
        <f t="shared" si="2"/>
        <v>30</v>
      </c>
      <c r="O29" s="7">
        <f t="shared" si="6"/>
        <v>5</v>
      </c>
      <c r="P29" s="7">
        <f t="shared" si="7"/>
        <v>29.277276353889043</v>
      </c>
      <c r="S29" s="7">
        <f t="shared" si="3"/>
        <v>7</v>
      </c>
      <c r="T29" s="7">
        <f t="shared" si="15"/>
        <v>29.274460715063476</v>
      </c>
    </row>
    <row r="30" spans="1:20">
      <c r="A30" s="3">
        <v>8</v>
      </c>
      <c r="C30" s="7">
        <f t="shared" si="8"/>
        <v>-4</v>
      </c>
      <c r="D30" s="7">
        <f t="shared" si="10"/>
        <v>48.620983124572874</v>
      </c>
      <c r="E30" s="7">
        <f t="shared" si="11"/>
        <v>-48.620983124572874</v>
      </c>
      <c r="G30" s="7">
        <f t="shared" si="4"/>
        <v>6</v>
      </c>
      <c r="H30" s="7">
        <f t="shared" si="12"/>
        <v>39.799497484264798</v>
      </c>
      <c r="I30" s="7">
        <f t="shared" si="13"/>
        <v>-39.799497484264798</v>
      </c>
      <c r="K30" s="7">
        <f t="shared" si="5"/>
        <v>-3</v>
      </c>
      <c r="L30" s="7">
        <f t="shared" si="2"/>
        <v>30</v>
      </c>
      <c r="O30" s="7">
        <f t="shared" si="6"/>
        <v>6</v>
      </c>
      <c r="P30" s="7">
        <f t="shared" si="7"/>
        <v>29.220535179693325</v>
      </c>
      <c r="S30" s="7">
        <f t="shared" si="3"/>
        <v>8</v>
      </c>
      <c r="T30" s="7">
        <f t="shared" si="15"/>
        <v>29.090446759545472</v>
      </c>
    </row>
    <row r="31" spans="1:20">
      <c r="A31" s="3">
        <v>9</v>
      </c>
      <c r="C31" s="7">
        <f t="shared" si="8"/>
        <v>-3</v>
      </c>
      <c r="D31" s="7">
        <f t="shared" si="10"/>
        <v>52.449976167773421</v>
      </c>
      <c r="E31" s="7">
        <f t="shared" si="11"/>
        <v>-52.449976167773421</v>
      </c>
      <c r="G31" s="7">
        <f t="shared" si="4"/>
        <v>7</v>
      </c>
      <c r="H31" s="7">
        <f t="shared" si="12"/>
        <v>34.510867853474792</v>
      </c>
      <c r="I31" s="7">
        <f t="shared" si="13"/>
        <v>-34.510867853474792</v>
      </c>
      <c r="K31" s="7">
        <f t="shared" si="5"/>
        <v>-2</v>
      </c>
      <c r="L31" s="7">
        <f t="shared" si="2"/>
        <v>30</v>
      </c>
      <c r="O31" s="7">
        <f t="shared" si="6"/>
        <v>7</v>
      </c>
      <c r="P31" s="7">
        <f t="shared" si="7"/>
        <v>29.163794005497603</v>
      </c>
      <c r="S31" s="7">
        <f t="shared" si="3"/>
        <v>9</v>
      </c>
      <c r="T31" s="7">
        <f t="shared" si="15"/>
        <v>28.906432804027467</v>
      </c>
    </row>
    <row r="32" spans="1:20">
      <c r="A32" s="3">
        <v>10</v>
      </c>
      <c r="C32" s="7">
        <f t="shared" si="8"/>
        <v>-2</v>
      </c>
      <c r="D32" s="7">
        <f t="shared" si="10"/>
        <v>56</v>
      </c>
      <c r="E32" s="7">
        <f t="shared" si="11"/>
        <v>-56</v>
      </c>
      <c r="G32" s="7">
        <f t="shared" si="4"/>
        <v>8</v>
      </c>
      <c r="H32" s="7">
        <f t="shared" si="12"/>
        <v>28.21347195933177</v>
      </c>
      <c r="I32" s="7">
        <f t="shared" si="13"/>
        <v>-28.21347195933177</v>
      </c>
      <c r="K32" s="7">
        <f t="shared" si="5"/>
        <v>-1</v>
      </c>
      <c r="L32" s="7"/>
      <c r="O32" s="7">
        <f t="shared" si="6"/>
        <v>8</v>
      </c>
      <c r="P32" s="7">
        <f t="shared" si="7"/>
        <v>29.107052831301885</v>
      </c>
      <c r="S32" s="7">
        <f t="shared" si="3"/>
        <v>10</v>
      </c>
      <c r="T32" s="7">
        <f t="shared" si="15"/>
        <v>28.722418848509463</v>
      </c>
    </row>
    <row r="33" spans="1:20">
      <c r="A33" s="3">
        <v>11</v>
      </c>
      <c r="C33" s="7">
        <f t="shared" si="8"/>
        <v>-1</v>
      </c>
      <c r="D33" s="7">
        <f t="shared" si="10"/>
        <v>59.321159799855565</v>
      </c>
      <c r="E33" s="7">
        <f t="shared" si="11"/>
        <v>-59.321159799855565</v>
      </c>
      <c r="G33" s="7">
        <f t="shared" si="4"/>
        <v>9</v>
      </c>
      <c r="H33" s="7">
        <f t="shared" si="12"/>
        <v>19.974984355438178</v>
      </c>
      <c r="I33" s="7">
        <f t="shared" si="13"/>
        <v>-19.974984355438178</v>
      </c>
      <c r="K33" s="7">
        <f>A22</f>
        <v>0</v>
      </c>
      <c r="L33" s="7"/>
      <c r="O33" s="7">
        <f t="shared" si="6"/>
        <v>9</v>
      </c>
      <c r="P33" s="7">
        <f t="shared" si="7"/>
        <v>29.050311657106164</v>
      </c>
      <c r="S33" s="7">
        <f t="shared" si="3"/>
        <v>11</v>
      </c>
      <c r="T33" s="7">
        <f t="shared" si="15"/>
        <v>28.538404892991458</v>
      </c>
    </row>
    <row r="34" spans="1:20">
      <c r="A34" s="3">
        <v>12</v>
      </c>
      <c r="C34" s="7">
        <f t="shared" si="8"/>
        <v>0</v>
      </c>
      <c r="D34" s="7">
        <f t="shared" ref="D34" si="16">SQRT(LR*LR-($C34-a)*($C34-a))</f>
        <v>62.44997998398398</v>
      </c>
      <c r="E34" s="7">
        <f t="shared" ref="E34" si="17">-SQRT(LR*LR-($C34-a)*($C34-a))</f>
        <v>-62.44997998398398</v>
      </c>
      <c r="G34" s="7">
        <f t="shared" si="4"/>
        <v>10</v>
      </c>
      <c r="H34" s="7">
        <f t="shared" si="12"/>
        <v>0</v>
      </c>
      <c r="I34" s="7">
        <f t="shared" si="13"/>
        <v>0</v>
      </c>
      <c r="K34" s="7"/>
      <c r="L34" s="7"/>
      <c r="O34" s="7">
        <f t="shared" si="6"/>
        <v>10</v>
      </c>
      <c r="P34" s="7"/>
      <c r="S34" s="7">
        <f t="shared" si="3"/>
        <v>12</v>
      </c>
      <c r="T34" s="7">
        <f t="shared" si="15"/>
        <v>28.354390937473454</v>
      </c>
    </row>
    <row r="35" spans="1:20">
      <c r="A35" s="3">
        <v>13</v>
      </c>
      <c r="C35" s="7">
        <f t="shared" si="8"/>
        <v>1</v>
      </c>
      <c r="D35" s="7"/>
      <c r="E35" s="7"/>
      <c r="G35" s="7">
        <f t="shared" si="4"/>
        <v>11</v>
      </c>
      <c r="H35" s="7"/>
      <c r="I35" s="7"/>
      <c r="K35" s="7"/>
      <c r="L35" s="7"/>
      <c r="O35" s="7">
        <f t="shared" si="6"/>
        <v>11</v>
      </c>
      <c r="P35" s="7"/>
      <c r="S35" s="7">
        <f t="shared" si="3"/>
        <v>13</v>
      </c>
      <c r="T35" s="7">
        <f t="shared" si="15"/>
        <v>28.170376981955449</v>
      </c>
    </row>
    <row r="36" spans="1:20">
      <c r="A36" s="3">
        <v>14</v>
      </c>
      <c r="C36" s="7">
        <f t="shared" si="8"/>
        <v>2</v>
      </c>
      <c r="D36" s="7"/>
      <c r="E36" s="7"/>
      <c r="G36" s="7">
        <f t="shared" si="4"/>
        <v>12</v>
      </c>
      <c r="H36" s="7"/>
      <c r="I36" s="7"/>
      <c r="K36" s="7"/>
      <c r="L36" s="7"/>
      <c r="O36" s="7">
        <f t="shared" si="6"/>
        <v>12</v>
      </c>
      <c r="P36" s="7"/>
      <c r="S36" s="7">
        <f t="shared" si="3"/>
        <v>14</v>
      </c>
      <c r="T36" s="7">
        <f t="shared" si="15"/>
        <v>27.986363026437445</v>
      </c>
    </row>
    <row r="37" spans="1:20">
      <c r="A37" s="3">
        <v>15</v>
      </c>
      <c r="C37" s="7">
        <f t="shared" si="8"/>
        <v>3</v>
      </c>
      <c r="D37" s="7"/>
      <c r="E37" s="7"/>
      <c r="G37" s="7">
        <f t="shared" si="4"/>
        <v>13</v>
      </c>
      <c r="H37" s="7"/>
      <c r="I37" s="7"/>
      <c r="K37" s="7"/>
      <c r="L37" s="7"/>
      <c r="O37" s="7">
        <f t="shared" si="6"/>
        <v>13</v>
      </c>
      <c r="P37" s="7"/>
      <c r="S37" s="7">
        <f t="shared" si="3"/>
        <v>15</v>
      </c>
      <c r="T37" s="7">
        <f t="shared" si="15"/>
        <v>27.802349070919441</v>
      </c>
    </row>
    <row r="38" spans="1:20">
      <c r="A38" s="3">
        <v>20</v>
      </c>
      <c r="C38" s="7">
        <f t="shared" si="8"/>
        <v>4</v>
      </c>
      <c r="D38" s="7"/>
      <c r="E38" s="7"/>
      <c r="G38" s="7">
        <f t="shared" si="4"/>
        <v>14</v>
      </c>
      <c r="H38" s="7"/>
      <c r="I38" s="7"/>
      <c r="K38" s="7"/>
      <c r="L38" s="7"/>
      <c r="O38" s="7">
        <f t="shared" si="6"/>
        <v>14</v>
      </c>
      <c r="P38" s="7"/>
      <c r="S38" s="7">
        <f t="shared" ref="S38:S42" si="18">A38</f>
        <v>20</v>
      </c>
      <c r="T38" s="7">
        <f t="shared" si="15"/>
        <v>26.882279293329418</v>
      </c>
    </row>
    <row r="39" spans="1:20">
      <c r="A39" s="3">
        <v>40</v>
      </c>
      <c r="C39" s="7">
        <f t="shared" si="8"/>
        <v>5</v>
      </c>
      <c r="D39" s="5"/>
      <c r="E39" s="5"/>
      <c r="G39" s="7">
        <f t="shared" si="4"/>
        <v>15</v>
      </c>
      <c r="H39" s="7"/>
      <c r="I39" s="7"/>
      <c r="K39" s="7"/>
      <c r="L39" s="7"/>
      <c r="O39" s="7">
        <f t="shared" si="6"/>
        <v>15</v>
      </c>
      <c r="P39" s="7"/>
      <c r="S39" s="7">
        <f t="shared" si="18"/>
        <v>40</v>
      </c>
      <c r="T39" s="7">
        <f t="shared" si="15"/>
        <v>23.202000182969332</v>
      </c>
    </row>
    <row r="40" spans="1:20">
      <c r="A40" s="3">
        <v>60</v>
      </c>
      <c r="C40" s="7">
        <f t="shared" ref="C40:C47" si="19">A28</f>
        <v>6</v>
      </c>
      <c r="D40" s="5"/>
      <c r="E40" s="5"/>
      <c r="G40" s="7">
        <f t="shared" si="4"/>
        <v>20</v>
      </c>
      <c r="H40" s="7"/>
      <c r="I40" s="7"/>
      <c r="K40" s="7"/>
      <c r="L40" s="7"/>
      <c r="O40" s="7">
        <f t="shared" si="6"/>
        <v>20</v>
      </c>
      <c r="P40" s="7"/>
      <c r="S40" s="7">
        <f t="shared" si="18"/>
        <v>60</v>
      </c>
      <c r="T40" s="7">
        <f t="shared" si="15"/>
        <v>19.521721072609246</v>
      </c>
    </row>
    <row r="41" spans="1:20">
      <c r="A41" s="3">
        <v>80</v>
      </c>
      <c r="C41" s="7">
        <f t="shared" si="19"/>
        <v>7</v>
      </c>
      <c r="D41" s="5"/>
      <c r="E41" s="5"/>
      <c r="G41" s="7">
        <f t="shared" si="4"/>
        <v>40</v>
      </c>
      <c r="H41" s="7"/>
      <c r="I41" s="7"/>
      <c r="K41" s="7"/>
      <c r="L41" s="7"/>
      <c r="O41" s="7">
        <f t="shared" si="6"/>
        <v>40</v>
      </c>
      <c r="P41" s="7"/>
      <c r="S41" s="7">
        <f t="shared" si="18"/>
        <v>80</v>
      </c>
      <c r="T41" s="7">
        <f t="shared" si="15"/>
        <v>15.841441962249156</v>
      </c>
    </row>
    <row r="42" spans="1:20">
      <c r="A42" s="3">
        <v>100</v>
      </c>
      <c r="C42" s="7">
        <f t="shared" si="19"/>
        <v>8</v>
      </c>
      <c r="D42" s="5"/>
      <c r="E42" s="5"/>
      <c r="G42" s="7">
        <f t="shared" si="4"/>
        <v>60</v>
      </c>
      <c r="H42" s="7"/>
      <c r="I42" s="7"/>
      <c r="K42" s="7"/>
      <c r="L42" s="7"/>
      <c r="O42" s="7">
        <f t="shared" si="6"/>
        <v>60</v>
      </c>
      <c r="P42" s="7"/>
      <c r="S42" s="7">
        <f t="shared" si="18"/>
        <v>100</v>
      </c>
      <c r="T42" s="7">
        <f t="shared" si="15"/>
        <v>12.161162851889067</v>
      </c>
    </row>
    <row r="43" spans="1:20">
      <c r="A43" s="3">
        <v>120</v>
      </c>
      <c r="C43" s="7">
        <f t="shared" si="19"/>
        <v>9</v>
      </c>
      <c r="D43" s="5"/>
      <c r="E43" s="5"/>
      <c r="G43" s="7">
        <f t="shared" si="4"/>
        <v>80</v>
      </c>
      <c r="H43" s="7"/>
      <c r="I43" s="7"/>
      <c r="K43" s="7"/>
      <c r="L43" s="7"/>
      <c r="O43" s="7">
        <f t="shared" si="6"/>
        <v>80</v>
      </c>
      <c r="P43" s="7"/>
      <c r="S43" s="7">
        <f t="shared" ref="S43:S47" si="20">A43</f>
        <v>120</v>
      </c>
      <c r="T43" s="7">
        <f t="shared" ref="T43:T47" si="21">v*S43+w</f>
        <v>8.4808837415289808</v>
      </c>
    </row>
    <row r="44" spans="1:20">
      <c r="A44" s="3">
        <v>140</v>
      </c>
      <c r="C44" s="7">
        <f t="shared" si="19"/>
        <v>10</v>
      </c>
      <c r="D44" s="5"/>
      <c r="E44" s="5"/>
      <c r="G44" s="7">
        <f t="shared" si="4"/>
        <v>100</v>
      </c>
      <c r="H44" s="7"/>
      <c r="I44" s="7"/>
      <c r="K44" s="7"/>
      <c r="L44" s="7"/>
      <c r="O44" s="7">
        <f t="shared" si="6"/>
        <v>100</v>
      </c>
      <c r="P44" s="7"/>
      <c r="S44" s="7">
        <f t="shared" si="20"/>
        <v>140</v>
      </c>
      <c r="T44" s="7">
        <f t="shared" si="21"/>
        <v>4.8006046311688912</v>
      </c>
    </row>
    <row r="45" spans="1:20">
      <c r="A45" s="3">
        <v>160</v>
      </c>
      <c r="C45" s="7">
        <f t="shared" si="19"/>
        <v>11</v>
      </c>
      <c r="D45" s="5"/>
      <c r="E45" s="5"/>
      <c r="G45" s="7">
        <f t="shared" si="4"/>
        <v>120</v>
      </c>
      <c r="H45" s="7"/>
      <c r="I45" s="7"/>
      <c r="K45" s="7"/>
      <c r="L45" s="7"/>
      <c r="O45" s="7">
        <f t="shared" si="6"/>
        <v>120</v>
      </c>
      <c r="P45" s="7"/>
      <c r="S45" s="7">
        <f t="shared" si="20"/>
        <v>160</v>
      </c>
      <c r="T45" s="7">
        <f t="shared" si="21"/>
        <v>1.1203255208088052</v>
      </c>
    </row>
    <row r="46" spans="1:20">
      <c r="A46" s="3">
        <v>180</v>
      </c>
      <c r="C46" s="7">
        <f t="shared" si="19"/>
        <v>12</v>
      </c>
      <c r="D46" s="5"/>
      <c r="E46" s="5"/>
      <c r="G46" s="7">
        <f t="shared" si="4"/>
        <v>140</v>
      </c>
      <c r="H46" s="7"/>
      <c r="I46" s="7"/>
      <c r="K46" s="7"/>
      <c r="L46" s="7"/>
      <c r="O46" s="7">
        <f t="shared" si="6"/>
        <v>140</v>
      </c>
      <c r="P46" s="7"/>
      <c r="S46" s="7">
        <f t="shared" si="20"/>
        <v>180</v>
      </c>
      <c r="T46" s="7">
        <f t="shared" si="21"/>
        <v>-2.5599535895512844</v>
      </c>
    </row>
    <row r="47" spans="1:20">
      <c r="A47" s="3">
        <v>200</v>
      </c>
      <c r="C47" s="7">
        <f t="shared" si="19"/>
        <v>13</v>
      </c>
      <c r="D47" s="5"/>
      <c r="E47" s="5"/>
      <c r="G47" s="7">
        <f t="shared" ref="G47" si="22">A45</f>
        <v>160</v>
      </c>
      <c r="H47" s="7"/>
      <c r="I47" s="7"/>
      <c r="K47" s="7"/>
      <c r="L47" s="7"/>
      <c r="O47" s="7">
        <f t="shared" ref="O47" si="23">A45</f>
        <v>160</v>
      </c>
      <c r="P47" s="7"/>
      <c r="S47" s="7">
        <f t="shared" si="20"/>
        <v>200</v>
      </c>
      <c r="T47" s="7">
        <f t="shared" si="21"/>
        <v>-6.240232699911374</v>
      </c>
    </row>
  </sheetData>
  <mergeCells count="7">
    <mergeCell ref="C10:E10"/>
    <mergeCell ref="G10:I10"/>
    <mergeCell ref="AE13:AI13"/>
    <mergeCell ref="K10:M10"/>
    <mergeCell ref="O10:Q10"/>
    <mergeCell ref="S10:U10"/>
    <mergeCell ref="AF2:AI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6" orientation="landscape" r:id="rId1"/>
  <headerFooter>
    <oddFooter>&amp;L&amp;F&amp;C&amp;N&amp;R&amp;D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26</vt:i4>
      </vt:variant>
    </vt:vector>
  </HeadingPairs>
  <TitlesOfParts>
    <vt:vector size="29" baseType="lpstr">
      <vt:lpstr>Linse</vt:lpstr>
      <vt:lpstr>Tabelle2</vt:lpstr>
      <vt:lpstr>Tabelle3</vt:lpstr>
      <vt:lpstr>a</vt:lpstr>
      <vt:lpstr>alpha</vt:lpstr>
      <vt:lpstr>b</vt:lpstr>
      <vt:lpstr>beta</vt:lpstr>
      <vt:lpstr>D</vt:lpstr>
      <vt:lpstr>delta</vt:lpstr>
      <vt:lpstr>Linse!Druckbereich</vt:lpstr>
      <vt:lpstr>epsilon</vt:lpstr>
      <vt:lpstr>gamma</vt:lpstr>
      <vt:lpstr>LR</vt:lpstr>
      <vt:lpstr>m</vt:lpstr>
      <vt:lpstr>mue</vt:lpstr>
      <vt:lpstr>n</vt:lpstr>
      <vt:lpstr>ni</vt:lpstr>
      <vt:lpstr>p</vt:lpstr>
      <vt:lpstr>psi</vt:lpstr>
      <vt:lpstr>q</vt:lpstr>
      <vt:lpstr>RR</vt:lpstr>
      <vt:lpstr>sigma</vt:lpstr>
      <vt:lpstr>v</vt:lpstr>
      <vt:lpstr>w</vt:lpstr>
      <vt:lpstr>XA</vt:lpstr>
      <vt:lpstr>XB</vt:lpstr>
      <vt:lpstr>YA</vt:lpstr>
      <vt:lpstr>YB</vt:lpstr>
      <vt:lpstr>ZF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Michael_2</dc:creator>
  <cp:lastModifiedBy>Michael_2</cp:lastModifiedBy>
  <cp:lastPrinted>2015-02-17T09:44:12Z</cp:lastPrinted>
  <dcterms:created xsi:type="dcterms:W3CDTF">2015-02-16T12:55:11Z</dcterms:created>
  <dcterms:modified xsi:type="dcterms:W3CDTF">2015-02-20T15:58:10Z</dcterms:modified>
</cp:coreProperties>
</file>